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 activeTab="7"/>
  </bookViews>
  <sheets>
    <sheet name="38а" sheetId="9" r:id="rId1"/>
    <sheet name="38б" sheetId="8" r:id="rId2"/>
    <sheet name="48в" sheetId="5" r:id="rId3"/>
    <sheet name="109а" sheetId="10" r:id="rId4"/>
    <sheet name="48" sheetId="7" r:id="rId5"/>
    <sheet name="21" sheetId="11" r:id="rId6"/>
    <sheet name="104 106" sheetId="12" r:id="rId7"/>
    <sheet name="225А" sheetId="13" r:id="rId8"/>
  </sheets>
  <calcPr calcId="145621"/>
</workbook>
</file>

<file path=xl/calcChain.xml><?xml version="1.0" encoding="utf-8"?>
<calcChain xmlns="http://schemas.openxmlformats.org/spreadsheetml/2006/main">
  <c r="C22" i="13" l="1"/>
  <c r="C21" i="13"/>
  <c r="C20" i="13"/>
  <c r="C19" i="13"/>
  <c r="C18" i="13"/>
  <c r="C17" i="13"/>
  <c r="C16" i="13"/>
  <c r="C15" i="13"/>
  <c r="C25" i="13" s="1"/>
  <c r="C20" i="12"/>
  <c r="C22" i="12"/>
  <c r="C21" i="12"/>
  <c r="C18" i="12"/>
  <c r="C17" i="12"/>
  <c r="C16" i="12"/>
  <c r="C20" i="11"/>
  <c r="C22" i="11"/>
  <c r="C18" i="11"/>
  <c r="C17" i="11"/>
  <c r="C16" i="11"/>
  <c r="C23" i="7" l="1"/>
  <c r="C20" i="7"/>
  <c r="C19" i="7"/>
  <c r="C18" i="7"/>
  <c r="C17" i="7"/>
  <c r="C16" i="7"/>
  <c r="C40" i="10"/>
  <c r="C39" i="10"/>
  <c r="C23" i="10"/>
  <c r="C21" i="10"/>
  <c r="C19" i="10"/>
  <c r="C18" i="10"/>
  <c r="C17" i="10"/>
  <c r="C13" i="10"/>
  <c r="C20" i="5" l="1"/>
  <c r="C22" i="5"/>
  <c r="C21" i="5"/>
  <c r="C19" i="5"/>
  <c r="C18" i="5"/>
  <c r="C17" i="5"/>
  <c r="C16" i="5"/>
  <c r="C20" i="8"/>
  <c r="C22" i="8"/>
  <c r="C21" i="8"/>
  <c r="C18" i="8"/>
  <c r="C17" i="8"/>
  <c r="C16" i="8"/>
  <c r="C13" i="8"/>
  <c r="C25" i="9"/>
  <c r="C22" i="9"/>
  <c r="C20" i="9"/>
  <c r="C18" i="9"/>
  <c r="C21" i="9"/>
  <c r="C17" i="9"/>
  <c r="C16" i="9"/>
  <c r="C15" i="7" l="1"/>
  <c r="C26" i="7" s="1"/>
  <c r="C15" i="11"/>
  <c r="C25" i="11" s="1"/>
  <c r="C16" i="10"/>
  <c r="C15" i="5"/>
  <c r="C15" i="12"/>
  <c r="C25" i="12" s="1"/>
  <c r="C15" i="8"/>
  <c r="C26" i="10" l="1"/>
  <c r="C28" i="10"/>
  <c r="C25" i="5"/>
  <c r="C25" i="8"/>
  <c r="C15" i="9" l="1"/>
</calcChain>
</file>

<file path=xl/sharedStrings.xml><?xml version="1.0" encoding="utf-8"?>
<sst xmlns="http://schemas.openxmlformats.org/spreadsheetml/2006/main" count="186" uniqueCount="62">
  <si>
    <t>статьи затрат</t>
  </si>
  <si>
    <t>Расходы, всего</t>
  </si>
  <si>
    <t>Канцелярские и почтовые расходы, услуги связи, транспортные расходы</t>
  </si>
  <si>
    <t xml:space="preserve">на содержание и техническое обслуживание жилого дома </t>
  </si>
  <si>
    <t>по адресу: г.Воронеж, ул. Вл. Невского, 48В</t>
  </si>
  <si>
    <t>Доплата за коммунальные услуги</t>
  </si>
  <si>
    <t xml:space="preserve">ДОХОДЫ: поступления </t>
  </si>
  <si>
    <t>Оплата труда с начислениями, оплата услуг Банка</t>
  </si>
  <si>
    <t xml:space="preserve">содержание служебного помещения </t>
  </si>
  <si>
    <t>Страхование лифтов , амортизационные отчисления</t>
  </si>
  <si>
    <t>Аварийное обслуживание</t>
  </si>
  <si>
    <t xml:space="preserve">Расходные материалы, инвентарь, спецодежда, электроизмерительные работы, ремонтноэксплуатационные работы </t>
  </si>
  <si>
    <t>Оплата услуг ИВЦ, налоги</t>
  </si>
  <si>
    <t>Юридические и информационные услуги</t>
  </si>
  <si>
    <t>по адресу: г.Воронеж, ул. 45 Стрелковой дивизии, д.104, д.106</t>
  </si>
  <si>
    <t>Тариф -10,30 руб.</t>
  </si>
  <si>
    <t>по адресу: г.Воронеж, ул. Вл. Невского, 38Б</t>
  </si>
  <si>
    <t>по адресу: г.Воронеж, ул. Московский пр-кт, д. 109А</t>
  </si>
  <si>
    <t>по адресу: г.Воронеж, ул.60 Армии, 21</t>
  </si>
  <si>
    <t>Затраты на 1 м2</t>
  </si>
  <si>
    <t>2007г.</t>
  </si>
  <si>
    <t>2008г.</t>
  </si>
  <si>
    <t>2009г.</t>
  </si>
  <si>
    <t>2010г.</t>
  </si>
  <si>
    <t>2011г.</t>
  </si>
  <si>
    <t>2012г.</t>
  </si>
  <si>
    <t>Финансовый результат за предыдущие периоды:</t>
  </si>
  <si>
    <t>Банк ВТБ 24</t>
  </si>
  <si>
    <t>Население</t>
  </si>
  <si>
    <t>Доплата за коммунальные услуги ТБО за Банк ВТБ 24</t>
  </si>
  <si>
    <t>ДОХОДЫ: поступления (от населения и нежилых помещений)</t>
  </si>
  <si>
    <t>по адресу: г. Воронеж, ул. Хользунова, 48</t>
  </si>
  <si>
    <t>Информация о расходовании денежных средств ООО "УК "Стэл" за 2013г.</t>
  </si>
  <si>
    <t>по адресу: г.Воронеж, ул. Вл. Невского, д. 38А</t>
  </si>
  <si>
    <t>Общая площадь жилых помещений -9581,9 м2</t>
  </si>
  <si>
    <t>Общая площадь нежилых помещений -404,4 м2</t>
  </si>
  <si>
    <t>Тариф (с 01.01.2013г. по 01.08.2013г.) - 9,20 руб.</t>
  </si>
  <si>
    <t>Тариф (с 01.08.2013г. по 01.01.2014г.) - 9,71 руб.</t>
  </si>
  <si>
    <t>2013 год</t>
  </si>
  <si>
    <t>финансовый результат 2013г.</t>
  </si>
  <si>
    <t>Задолженность за населением на 01.01.2014г.</t>
  </si>
  <si>
    <t>Общая площадь жилых помещений  -13675,6 м2</t>
  </si>
  <si>
    <t>Общая площадь нежилых помещений -859,1 м2</t>
  </si>
  <si>
    <t>Общая площадь жилых помещений  -11661,1 м2</t>
  </si>
  <si>
    <t>Общая площадь нежилых помещений -833,2 м2</t>
  </si>
  <si>
    <t>Общая площадь жилых помещений -4795,3 м2</t>
  </si>
  <si>
    <t>Общая площадь нежилых помещений -385,6 м2</t>
  </si>
  <si>
    <t>Тариф (с 01.08.2013г. по 01.01.2014г.) - 12,50 руб.</t>
  </si>
  <si>
    <t>Общая площадь жилых помещений - 6910,5 м2</t>
  </si>
  <si>
    <t>Общая площадь нежилых помещений -950,2 м2</t>
  </si>
  <si>
    <t>Тариф (с 01.01.2013г. по 01.08.2013г.) - 10,50 руб.</t>
  </si>
  <si>
    <t>Тариф (с 01.08.2013г. по 01.01.2014г.) - 11,08 руб.</t>
  </si>
  <si>
    <t>В том числе затраты на ремонт лифта, покупка электропривода, насоса, замена прибора учета</t>
  </si>
  <si>
    <r>
      <t>Расходные материалы, инвентарь, спецодежда, электроизмерительные работы, ремонтноэксплуатационные работы</t>
    </r>
    <r>
      <rPr>
        <sz val="11"/>
        <rFont val="Arial"/>
        <family val="2"/>
        <charset val="204"/>
      </rPr>
      <t xml:space="preserve"> (В том числе затраты на ремонт лифта, покупка электропривода, насоса, замена прибора учета)</t>
    </r>
  </si>
  <si>
    <t>Общая площадь жилых помещений -13353,3 м2</t>
  </si>
  <si>
    <t>Общая площадь нежилых помещений -1697,7 м2</t>
  </si>
  <si>
    <t>Тариф (с 01.01.2013г. по 01.08.2013г.) - 9,90 руб.</t>
  </si>
  <si>
    <t>Тариф (с 01.08.2013г. по 01.01.2014г.) - 10,45 руб.</t>
  </si>
  <si>
    <r>
      <t>Общая площадь жилых помещений -</t>
    </r>
    <r>
      <rPr>
        <sz val="11"/>
        <color rgb="FFFF0000"/>
        <rFont val="Calibri"/>
        <family val="2"/>
        <charset val="204"/>
        <scheme val="minor"/>
      </rPr>
      <t>9489,4</t>
    </r>
    <r>
      <rPr>
        <sz val="11"/>
        <color theme="1"/>
        <rFont val="Calibri"/>
        <family val="2"/>
        <charset val="204"/>
        <scheme val="minor"/>
      </rPr>
      <t xml:space="preserve"> м2</t>
    </r>
  </si>
  <si>
    <t>Общая площадь нежилых помещений -477,3м2</t>
  </si>
  <si>
    <t>Общая площадь нежилых помещений -44,0 м2</t>
  </si>
  <si>
    <r>
      <t>Общая площадь жилых помещений -</t>
    </r>
    <r>
      <rPr>
        <sz val="11"/>
        <color rgb="FFFF0000"/>
        <rFont val="Calibri"/>
        <family val="2"/>
        <charset val="204"/>
        <scheme val="minor"/>
      </rPr>
      <t>9939,0</t>
    </r>
    <r>
      <rPr>
        <sz val="11"/>
        <color theme="1"/>
        <rFont val="Calibri"/>
        <family val="2"/>
        <charset val="204"/>
        <scheme val="minor"/>
      </rPr>
      <t xml:space="preserve"> м2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</si>
</sst>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Arial"/>
      <family val="2"/>
      <charset val="204"/>
    </font>
    <font>
      <b/>
      <sz val="12"/>
      <color indexed="14"/>
      <name val="Arial"/>
      <family val="2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14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3" fontId="0" fillId="0" borderId="0" xfId="0" applyNumberFormat="1"/>
    <xf numFmtId="0" fontId="2" fillId="3" borderId="1" xfId="0" applyFont="1" applyFill="1" applyBorder="1" applyAlignment="1"/>
    <xf numFmtId="3" fontId="5" fillId="0" borderId="1" xfId="0" applyNumberFormat="1" applyFont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0" fontId="4" fillId="0" borderId="1" xfId="0" applyFont="1" applyFill="1" applyBorder="1" applyAlignment="1">
      <alignment wrapText="1"/>
    </xf>
    <xf numFmtId="0" fontId="10" fillId="0" borderId="0" xfId="0" applyFont="1"/>
    <xf numFmtId="4" fontId="11" fillId="0" borderId="4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4" fontId="10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3" fillId="0" borderId="0" xfId="0" applyFont="1"/>
    <xf numFmtId="3" fontId="2" fillId="4" borderId="1" xfId="0" applyNumberFormat="1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4" fillId="0" borderId="0" xfId="0" applyFont="1"/>
    <xf numFmtId="3" fontId="0" fillId="0" borderId="3" xfId="0" applyNumberFormat="1" applyBorder="1"/>
    <xf numFmtId="3" fontId="6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workbookViewId="0">
      <selection activeCell="B6" sqref="B6:B9"/>
    </sheetView>
  </sheetViews>
  <sheetFormatPr defaultRowHeight="15" x14ac:dyDescent="0.25"/>
  <cols>
    <col min="1" max="1" width="2.42578125" customWidth="1"/>
    <col min="2" max="2" width="67.140625" customWidth="1"/>
    <col min="3" max="3" width="14.5703125" customWidth="1"/>
  </cols>
  <sheetData>
    <row r="1" spans="2:3" ht="15" customHeight="1" x14ac:dyDescent="0.25">
      <c r="B1" s="37" t="s">
        <v>32</v>
      </c>
      <c r="C1" s="37"/>
    </row>
    <row r="2" spans="2:3" ht="15.75" x14ac:dyDescent="0.25">
      <c r="B2" s="33" t="s">
        <v>3</v>
      </c>
      <c r="C2" s="1"/>
    </row>
    <row r="3" spans="2:3" ht="15.75" x14ac:dyDescent="0.25">
      <c r="B3" s="34" t="s">
        <v>33</v>
      </c>
      <c r="C3" s="1"/>
    </row>
    <row r="4" spans="2:3" ht="15.75" x14ac:dyDescent="0.25">
      <c r="C4" s="1"/>
    </row>
    <row r="5" spans="2:3" ht="15.75" x14ac:dyDescent="0.25">
      <c r="B5" t="s">
        <v>34</v>
      </c>
      <c r="C5" s="1"/>
    </row>
    <row r="6" spans="2:3" ht="15.75" x14ac:dyDescent="0.25">
      <c r="B6" t="s">
        <v>35</v>
      </c>
      <c r="C6" s="1"/>
    </row>
    <row r="7" spans="2:3" ht="15.75" x14ac:dyDescent="0.25">
      <c r="C7" s="1"/>
    </row>
    <row r="8" spans="2:3" ht="15.75" x14ac:dyDescent="0.25">
      <c r="B8" t="s">
        <v>36</v>
      </c>
      <c r="C8" s="1"/>
    </row>
    <row r="9" spans="2:3" ht="15.75" x14ac:dyDescent="0.25">
      <c r="B9" t="s">
        <v>37</v>
      </c>
      <c r="C9" s="1"/>
    </row>
    <row r="10" spans="2:3" ht="15.75" x14ac:dyDescent="0.25">
      <c r="C10" s="1"/>
    </row>
    <row r="11" spans="2:3" ht="15.75" x14ac:dyDescent="0.25">
      <c r="B11" s="4" t="s">
        <v>0</v>
      </c>
      <c r="C11" s="7" t="s">
        <v>38</v>
      </c>
    </row>
    <row r="12" spans="2:3" x14ac:dyDescent="0.25">
      <c r="B12" s="3"/>
      <c r="C12" s="5"/>
    </row>
    <row r="13" spans="2:3" ht="17.25" customHeight="1" x14ac:dyDescent="0.25">
      <c r="B13" s="10" t="s">
        <v>6</v>
      </c>
      <c r="C13" s="15">
        <v>1140522.07</v>
      </c>
    </row>
    <row r="14" spans="2:3" ht="17.25" customHeight="1" x14ac:dyDescent="0.25">
      <c r="B14" s="14"/>
      <c r="C14" s="16"/>
    </row>
    <row r="15" spans="2:3" ht="17.25" customHeight="1" x14ac:dyDescent="0.25">
      <c r="B15" s="10" t="s">
        <v>1</v>
      </c>
      <c r="C15" s="11">
        <f>SUM(C16:C24)</f>
        <v>1126406.1199999999</v>
      </c>
    </row>
    <row r="16" spans="2:3" ht="17.25" customHeight="1" x14ac:dyDescent="0.25">
      <c r="B16" s="6" t="s">
        <v>7</v>
      </c>
      <c r="C16" s="9">
        <f>563748.1+114188.7+7939</f>
        <v>685875.79999999993</v>
      </c>
    </row>
    <row r="17" spans="2:3" ht="17.25" customHeight="1" x14ac:dyDescent="0.25">
      <c r="B17" s="6" t="s">
        <v>12</v>
      </c>
      <c r="C17" s="9">
        <f>71233+58028.8</f>
        <v>129261.8</v>
      </c>
    </row>
    <row r="18" spans="2:3" ht="17.25" customHeight="1" x14ac:dyDescent="0.25">
      <c r="B18" s="6" t="s">
        <v>13</v>
      </c>
      <c r="C18" s="9">
        <f>18258.5+4097.7</f>
        <v>22356.2</v>
      </c>
    </row>
    <row r="19" spans="2:3" ht="17.25" customHeight="1" x14ac:dyDescent="0.25">
      <c r="B19" s="6" t="s">
        <v>10</v>
      </c>
      <c r="C19" s="9">
        <v>37177.199999999997</v>
      </c>
    </row>
    <row r="20" spans="2:3" ht="47.25" customHeight="1" x14ac:dyDescent="0.25">
      <c r="B20" s="6" t="s">
        <v>11</v>
      </c>
      <c r="C20" s="9">
        <f>183155.1-4097.7-7128.4-10684.7</f>
        <v>161244.29999999999</v>
      </c>
    </row>
    <row r="21" spans="2:3" ht="18" customHeight="1" x14ac:dyDescent="0.25">
      <c r="B21" s="6" t="s">
        <v>9</v>
      </c>
      <c r="C21" s="9">
        <f>17668.8</f>
        <v>17668.8</v>
      </c>
    </row>
    <row r="22" spans="2:3" ht="33" customHeight="1" x14ac:dyDescent="0.25">
      <c r="B22" s="6" t="s">
        <v>2</v>
      </c>
      <c r="C22" s="36">
        <f>7128.4+10684.7+4706.8+2671.9</f>
        <v>25191.8</v>
      </c>
    </row>
    <row r="23" spans="2:3" ht="17.25" customHeight="1" x14ac:dyDescent="0.25">
      <c r="B23" s="6" t="s">
        <v>8</v>
      </c>
      <c r="C23" s="9">
        <v>42304.3</v>
      </c>
    </row>
    <row r="24" spans="2:3" ht="15.75" x14ac:dyDescent="0.25">
      <c r="B24" s="6" t="s">
        <v>5</v>
      </c>
      <c r="C24" s="9">
        <v>5325.92</v>
      </c>
    </row>
    <row r="25" spans="2:3" ht="15.75" x14ac:dyDescent="0.25">
      <c r="B25" s="2" t="s">
        <v>39</v>
      </c>
      <c r="C25" s="8">
        <f>C13-C15</f>
        <v>14115.950000000186</v>
      </c>
    </row>
    <row r="26" spans="2:3" ht="15.75" x14ac:dyDescent="0.25">
      <c r="B26" s="6"/>
      <c r="C26" s="9"/>
    </row>
    <row r="28" spans="2:3" x14ac:dyDescent="0.25">
      <c r="B28" s="18" t="s">
        <v>40</v>
      </c>
      <c r="C28" s="35">
        <v>15434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opLeftCell="A16" workbookViewId="0">
      <selection activeCell="B26" sqref="B26"/>
    </sheetView>
  </sheetViews>
  <sheetFormatPr defaultRowHeight="15" x14ac:dyDescent="0.25"/>
  <cols>
    <col min="1" max="1" width="3.5703125" customWidth="1"/>
    <col min="2" max="2" width="72" customWidth="1"/>
    <col min="3" max="3" width="11.140625" customWidth="1"/>
    <col min="4" max="4" width="11.28515625" customWidth="1"/>
  </cols>
  <sheetData>
    <row r="1" spans="2:3" ht="15" customHeight="1" x14ac:dyDescent="0.25">
      <c r="B1" s="37" t="s">
        <v>32</v>
      </c>
      <c r="C1" s="37"/>
    </row>
    <row r="2" spans="2:3" ht="15.75" x14ac:dyDescent="0.25">
      <c r="B2" s="33" t="s">
        <v>3</v>
      </c>
      <c r="C2" s="1"/>
    </row>
    <row r="3" spans="2:3" ht="15.75" x14ac:dyDescent="0.25">
      <c r="B3" t="s">
        <v>16</v>
      </c>
      <c r="C3" s="1"/>
    </row>
    <row r="4" spans="2:3" ht="15.75" x14ac:dyDescent="0.25">
      <c r="C4" s="1"/>
    </row>
    <row r="5" spans="2:3" ht="15.75" x14ac:dyDescent="0.25">
      <c r="B5" t="s">
        <v>41</v>
      </c>
      <c r="C5" s="1"/>
    </row>
    <row r="6" spans="2:3" ht="15.75" x14ac:dyDescent="0.25">
      <c r="B6" t="s">
        <v>42</v>
      </c>
      <c r="C6" s="1"/>
    </row>
    <row r="7" spans="2:3" ht="15.75" x14ac:dyDescent="0.25">
      <c r="C7" s="1"/>
    </row>
    <row r="8" spans="2:3" ht="15.75" x14ac:dyDescent="0.25">
      <c r="B8" t="s">
        <v>36</v>
      </c>
      <c r="C8" s="1"/>
    </row>
    <row r="9" spans="2:3" ht="15.75" x14ac:dyDescent="0.25">
      <c r="B9" t="s">
        <v>37</v>
      </c>
      <c r="C9" s="1"/>
    </row>
    <row r="10" spans="2:3" ht="15.75" x14ac:dyDescent="0.25">
      <c r="C10" s="1"/>
    </row>
    <row r="11" spans="2:3" ht="15.75" x14ac:dyDescent="0.25">
      <c r="B11" s="4" t="s">
        <v>0</v>
      </c>
      <c r="C11" s="7" t="s">
        <v>38</v>
      </c>
    </row>
    <row r="12" spans="2:3" x14ac:dyDescent="0.25">
      <c r="B12" s="3"/>
      <c r="C12" s="5"/>
    </row>
    <row r="13" spans="2:3" ht="15.75" x14ac:dyDescent="0.25">
      <c r="B13" s="10" t="s">
        <v>6</v>
      </c>
      <c r="C13" s="15">
        <f>1590322.42</f>
        <v>1590322.42</v>
      </c>
    </row>
    <row r="14" spans="2:3" ht="15.75" x14ac:dyDescent="0.25">
      <c r="B14" s="14"/>
      <c r="C14" s="16"/>
    </row>
    <row r="15" spans="2:3" ht="15.75" x14ac:dyDescent="0.25">
      <c r="B15" s="10" t="s">
        <v>1</v>
      </c>
      <c r="C15" s="11">
        <f>SUM(C16:C24)</f>
        <v>1539500.34</v>
      </c>
    </row>
    <row r="16" spans="2:3" ht="16.5" customHeight="1" x14ac:dyDescent="0.25">
      <c r="B16" s="6" t="s">
        <v>7</v>
      </c>
      <c r="C16" s="9">
        <f>808966.7+164019.8+11546.3</f>
        <v>984532.8</v>
      </c>
    </row>
    <row r="17" spans="2:3" ht="16.5" customHeight="1" x14ac:dyDescent="0.25">
      <c r="B17" s="6" t="s">
        <v>12</v>
      </c>
      <c r="C17" s="9">
        <f>103599.1+84395.5</f>
        <v>187994.6</v>
      </c>
    </row>
    <row r="18" spans="2:3" ht="16.5" customHeight="1" x14ac:dyDescent="0.25">
      <c r="B18" s="6" t="s">
        <v>13</v>
      </c>
      <c r="C18" s="9">
        <f>26555.1+5959.8</f>
        <v>32514.899999999998</v>
      </c>
    </row>
    <row r="19" spans="2:3" ht="16.5" customHeight="1" x14ac:dyDescent="0.25">
      <c r="B19" s="6" t="s">
        <v>10</v>
      </c>
      <c r="C19" s="9">
        <v>50872.800000000003</v>
      </c>
    </row>
    <row r="20" spans="2:3" ht="46.5" customHeight="1" x14ac:dyDescent="0.25">
      <c r="B20" s="6" t="s">
        <v>11</v>
      </c>
      <c r="C20" s="9">
        <f>157254.4-5959.8-10367.2-15539.6+29000</f>
        <v>154387.79999999999</v>
      </c>
    </row>
    <row r="21" spans="2:3" ht="15.75" x14ac:dyDescent="0.25">
      <c r="B21" s="6" t="s">
        <v>9</v>
      </c>
      <c r="C21" s="9">
        <f>25697.14</f>
        <v>25697.14</v>
      </c>
    </row>
    <row r="22" spans="2:3" ht="30.75" x14ac:dyDescent="0.25">
      <c r="B22" s="6" t="s">
        <v>2</v>
      </c>
      <c r="C22" s="17">
        <f>10367.2+15539.6+6845.6+3886.3</f>
        <v>36638.700000000004</v>
      </c>
    </row>
    <row r="23" spans="2:3" ht="15.75" x14ac:dyDescent="0.25">
      <c r="B23" s="6" t="s">
        <v>8</v>
      </c>
      <c r="C23" s="9">
        <v>61526.5</v>
      </c>
    </row>
    <row r="24" spans="2:3" ht="15.75" x14ac:dyDescent="0.25">
      <c r="B24" s="6" t="s">
        <v>5</v>
      </c>
      <c r="C24" s="9">
        <v>5335.1</v>
      </c>
    </row>
    <row r="25" spans="2:3" ht="15.75" x14ac:dyDescent="0.25">
      <c r="B25" s="2" t="s">
        <v>39</v>
      </c>
      <c r="C25" s="8">
        <f>C13-C15</f>
        <v>50822.079999999842</v>
      </c>
    </row>
    <row r="26" spans="2:3" ht="15.75" x14ac:dyDescent="0.25">
      <c r="B26" s="6"/>
      <c r="C26" s="9"/>
    </row>
    <row r="28" spans="2:3" x14ac:dyDescent="0.25">
      <c r="B28" s="18" t="s">
        <v>40</v>
      </c>
      <c r="C28" s="35">
        <v>57606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B8" sqref="B8:B9"/>
    </sheetView>
  </sheetViews>
  <sheetFormatPr defaultRowHeight="15" x14ac:dyDescent="0.25"/>
  <cols>
    <col min="1" max="1" width="2.85546875" customWidth="1"/>
    <col min="2" max="2" width="73" customWidth="1"/>
    <col min="3" max="3" width="11.5703125" customWidth="1"/>
  </cols>
  <sheetData>
    <row r="1" spans="2:4" ht="15" customHeight="1" x14ac:dyDescent="0.25">
      <c r="B1" s="37" t="s">
        <v>32</v>
      </c>
      <c r="C1" s="37"/>
    </row>
    <row r="2" spans="2:4" ht="15.75" x14ac:dyDescent="0.25">
      <c r="B2" s="33" t="s">
        <v>3</v>
      </c>
      <c r="C2" s="1"/>
    </row>
    <row r="3" spans="2:4" ht="15.75" x14ac:dyDescent="0.25">
      <c r="B3" t="s">
        <v>4</v>
      </c>
      <c r="C3" s="1"/>
    </row>
    <row r="4" spans="2:4" ht="15.75" x14ac:dyDescent="0.25">
      <c r="C4" s="1"/>
    </row>
    <row r="5" spans="2:4" ht="15.75" x14ac:dyDescent="0.25">
      <c r="B5" t="s">
        <v>43</v>
      </c>
      <c r="C5" s="1"/>
    </row>
    <row r="6" spans="2:4" ht="15.75" x14ac:dyDescent="0.25">
      <c r="B6" t="s">
        <v>44</v>
      </c>
      <c r="C6" s="1"/>
    </row>
    <row r="7" spans="2:4" ht="15.75" x14ac:dyDescent="0.25">
      <c r="C7" s="1"/>
    </row>
    <row r="8" spans="2:4" ht="15.75" x14ac:dyDescent="0.25">
      <c r="B8" t="s">
        <v>36</v>
      </c>
      <c r="C8" s="1"/>
    </row>
    <row r="9" spans="2:4" ht="15.75" x14ac:dyDescent="0.25">
      <c r="B9" t="s">
        <v>37</v>
      </c>
      <c r="C9" s="1"/>
    </row>
    <row r="10" spans="2:4" ht="15.75" x14ac:dyDescent="0.25">
      <c r="C10" s="1"/>
    </row>
    <row r="11" spans="2:4" ht="15.75" x14ac:dyDescent="0.25">
      <c r="B11" s="4" t="s">
        <v>0</v>
      </c>
      <c r="C11" s="7" t="s">
        <v>38</v>
      </c>
    </row>
    <row r="12" spans="2:4" x14ac:dyDescent="0.25">
      <c r="B12" s="3"/>
      <c r="C12" s="5"/>
    </row>
    <row r="13" spans="2:4" ht="15.75" x14ac:dyDescent="0.25">
      <c r="B13" s="10" t="s">
        <v>6</v>
      </c>
      <c r="C13" s="15">
        <v>1478059.29</v>
      </c>
    </row>
    <row r="14" spans="2:4" ht="15.75" x14ac:dyDescent="0.25">
      <c r="B14" s="14"/>
      <c r="C14" s="16"/>
    </row>
    <row r="15" spans="2:4" ht="15.75" x14ac:dyDescent="0.25">
      <c r="B15" s="10" t="s">
        <v>1</v>
      </c>
      <c r="C15" s="11">
        <f>SUM(C16:C24)</f>
        <v>1404330.1199999999</v>
      </c>
      <c r="D15" s="13"/>
    </row>
    <row r="16" spans="2:4" ht="15.75" customHeight="1" x14ac:dyDescent="0.25">
      <c r="B16" s="6" t="s">
        <v>7</v>
      </c>
      <c r="C16" s="9">
        <f>692154.7+140253.1+9925.6</f>
        <v>842333.39999999991</v>
      </c>
    </row>
    <row r="17" spans="2:3" ht="15" customHeight="1" x14ac:dyDescent="0.25">
      <c r="B17" s="6" t="s">
        <v>12</v>
      </c>
      <c r="C17" s="9">
        <f>72550.2+89058.4</f>
        <v>161608.59999999998</v>
      </c>
    </row>
    <row r="18" spans="2:3" ht="16.5" customHeight="1" x14ac:dyDescent="0.25">
      <c r="B18" s="6" t="s">
        <v>13</v>
      </c>
      <c r="C18" s="9">
        <f>22827.9+5123.1</f>
        <v>27951</v>
      </c>
    </row>
    <row r="19" spans="2:3" ht="16.5" customHeight="1" x14ac:dyDescent="0.25">
      <c r="B19" s="6" t="s">
        <v>10</v>
      </c>
      <c r="C19" s="9">
        <f>43378.8</f>
        <v>43378.8</v>
      </c>
    </row>
    <row r="20" spans="2:3" ht="31.5" customHeight="1" x14ac:dyDescent="0.25">
      <c r="B20" s="6" t="s">
        <v>11</v>
      </c>
      <c r="C20" s="9">
        <f>119784.8-5123.1-8343-13358.7+118000</f>
        <v>210960</v>
      </c>
    </row>
    <row r="21" spans="2:3" ht="15.75" x14ac:dyDescent="0.25">
      <c r="B21" s="6" t="s">
        <v>9</v>
      </c>
      <c r="C21" s="9">
        <f>22090.36</f>
        <v>22090.36</v>
      </c>
    </row>
    <row r="22" spans="2:3" ht="30.75" x14ac:dyDescent="0.25">
      <c r="B22" s="6" t="s">
        <v>2</v>
      </c>
      <c r="C22" s="17">
        <f>8383+13358.7+5884.7+3340.5</f>
        <v>30966.9</v>
      </c>
    </row>
    <row r="23" spans="2:3" ht="15.75" x14ac:dyDescent="0.25">
      <c r="B23" s="6" t="s">
        <v>8</v>
      </c>
      <c r="C23" s="9">
        <v>52891.5</v>
      </c>
    </row>
    <row r="24" spans="2:3" ht="15.75" x14ac:dyDescent="0.25">
      <c r="B24" s="6" t="s">
        <v>5</v>
      </c>
      <c r="C24" s="9">
        <v>12149.56</v>
      </c>
    </row>
    <row r="25" spans="2:3" ht="15.75" x14ac:dyDescent="0.25">
      <c r="B25" s="2" t="s">
        <v>39</v>
      </c>
      <c r="C25" s="8">
        <f>C13-C15</f>
        <v>73729.170000000158</v>
      </c>
    </row>
    <row r="26" spans="2:3" ht="15.75" x14ac:dyDescent="0.25">
      <c r="B26" s="6"/>
      <c r="C26" s="9"/>
    </row>
    <row r="28" spans="2:3" x14ac:dyDescent="0.25">
      <c r="B28" s="18" t="s">
        <v>40</v>
      </c>
      <c r="C28" s="19">
        <v>37771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7"/>
  <sheetViews>
    <sheetView workbookViewId="0">
      <selection activeCell="B6" sqref="B6"/>
    </sheetView>
  </sheetViews>
  <sheetFormatPr defaultRowHeight="15" x14ac:dyDescent="0.25"/>
  <cols>
    <col min="1" max="1" width="3.140625" customWidth="1"/>
    <col min="2" max="2" width="72.7109375" customWidth="1"/>
    <col min="3" max="3" width="14" customWidth="1"/>
  </cols>
  <sheetData>
    <row r="1" spans="2:3" ht="15" customHeight="1" x14ac:dyDescent="0.25">
      <c r="B1" s="37" t="s">
        <v>32</v>
      </c>
      <c r="C1" s="37"/>
    </row>
    <row r="2" spans="2:3" ht="15.75" x14ac:dyDescent="0.25">
      <c r="B2" s="33" t="s">
        <v>3</v>
      </c>
      <c r="C2" s="1"/>
    </row>
    <row r="3" spans="2:3" ht="15.75" x14ac:dyDescent="0.25">
      <c r="B3" t="s">
        <v>17</v>
      </c>
      <c r="C3" s="1"/>
    </row>
    <row r="4" spans="2:3" ht="15.75" x14ac:dyDescent="0.25">
      <c r="C4" s="1"/>
    </row>
    <row r="5" spans="2:3" ht="15.75" x14ac:dyDescent="0.25">
      <c r="B5" t="s">
        <v>45</v>
      </c>
      <c r="C5" s="1"/>
    </row>
    <row r="6" spans="2:3" ht="15.75" x14ac:dyDescent="0.25">
      <c r="B6" t="s">
        <v>46</v>
      </c>
      <c r="C6" s="1"/>
    </row>
    <row r="7" spans="2:3" ht="15.75" x14ac:dyDescent="0.25">
      <c r="C7" s="1"/>
    </row>
    <row r="8" spans="2:3" ht="15.75" x14ac:dyDescent="0.25">
      <c r="B8" t="s">
        <v>36</v>
      </c>
      <c r="C8" s="1"/>
    </row>
    <row r="9" spans="2:3" ht="15.75" x14ac:dyDescent="0.25">
      <c r="B9" t="s">
        <v>47</v>
      </c>
      <c r="C9" s="1"/>
    </row>
    <row r="10" spans="2:3" ht="15.75" x14ac:dyDescent="0.25">
      <c r="C10" s="1"/>
    </row>
    <row r="11" spans="2:3" ht="15.75" x14ac:dyDescent="0.25">
      <c r="B11" s="4" t="s">
        <v>0</v>
      </c>
      <c r="C11" s="7" t="s">
        <v>38</v>
      </c>
    </row>
    <row r="12" spans="2:3" x14ac:dyDescent="0.25">
      <c r="B12" s="3"/>
      <c r="C12" s="5"/>
    </row>
    <row r="13" spans="2:3" ht="15.75" x14ac:dyDescent="0.25">
      <c r="B13" s="10" t="s">
        <v>6</v>
      </c>
      <c r="C13" s="15">
        <f>C14+C15</f>
        <v>710218.17</v>
      </c>
    </row>
    <row r="14" spans="2:3" ht="15.75" x14ac:dyDescent="0.25">
      <c r="B14" s="14" t="s">
        <v>28</v>
      </c>
      <c r="C14" s="17">
        <v>583756.77</v>
      </c>
    </row>
    <row r="15" spans="2:3" ht="15.75" x14ac:dyDescent="0.25">
      <c r="B15" s="14" t="s">
        <v>27</v>
      </c>
      <c r="C15" s="32">
        <v>126461.4</v>
      </c>
    </row>
    <row r="16" spans="2:3" ht="15.75" x14ac:dyDescent="0.25">
      <c r="B16" s="10" t="s">
        <v>1</v>
      </c>
      <c r="C16" s="11">
        <f>SUM(C17:C25)</f>
        <v>873519.50000000012</v>
      </c>
    </row>
    <row r="17" spans="2:3" ht="17.25" customHeight="1" x14ac:dyDescent="0.25">
      <c r="B17" s="6" t="s">
        <v>7</v>
      </c>
      <c r="C17" s="9">
        <f>452594.5+91880.5+4115.6</f>
        <v>548590.6</v>
      </c>
    </row>
    <row r="18" spans="2:3" ht="15.75" x14ac:dyDescent="0.25">
      <c r="B18" s="6" t="s">
        <v>12</v>
      </c>
      <c r="C18" s="9">
        <f>30082.9+36928</f>
        <v>67010.899999999994</v>
      </c>
    </row>
    <row r="19" spans="2:3" ht="18.75" customHeight="1" x14ac:dyDescent="0.25">
      <c r="B19" s="6" t="s">
        <v>13</v>
      </c>
      <c r="C19" s="9">
        <f>9465.4+2124.4</f>
        <v>11589.8</v>
      </c>
    </row>
    <row r="20" spans="2:3" ht="15.75" x14ac:dyDescent="0.25">
      <c r="B20" s="6" t="s">
        <v>10</v>
      </c>
      <c r="C20" s="9">
        <v>17838</v>
      </c>
    </row>
    <row r="21" spans="2:3" ht="29.25" customHeight="1" x14ac:dyDescent="0.25">
      <c r="B21" s="6" t="s">
        <v>11</v>
      </c>
      <c r="C21" s="9">
        <f>182094.7-2124.4-3695.5-5539</f>
        <v>170735.80000000002</v>
      </c>
    </row>
    <row r="22" spans="2:3" ht="15.75" x14ac:dyDescent="0.25">
      <c r="B22" s="6" t="s">
        <v>9</v>
      </c>
      <c r="C22" s="9">
        <v>9159.7999999999993</v>
      </c>
    </row>
    <row r="23" spans="2:3" ht="30.75" x14ac:dyDescent="0.25">
      <c r="B23" s="6" t="s">
        <v>2</v>
      </c>
      <c r="C23" s="17">
        <f>3695.5+5539+2440.1+1385</f>
        <v>13059.6</v>
      </c>
    </row>
    <row r="24" spans="2:3" ht="15.75" x14ac:dyDescent="0.25">
      <c r="B24" s="6" t="s">
        <v>8</v>
      </c>
      <c r="C24" s="9">
        <v>21931</v>
      </c>
    </row>
    <row r="25" spans="2:3" ht="15.75" x14ac:dyDescent="0.25">
      <c r="B25" s="6" t="s">
        <v>29</v>
      </c>
      <c r="C25" s="9">
        <v>13604</v>
      </c>
    </row>
    <row r="26" spans="2:3" ht="15.75" x14ac:dyDescent="0.25">
      <c r="B26" s="2" t="s">
        <v>39</v>
      </c>
      <c r="C26" s="8">
        <f>C13-C16</f>
        <v>-163301.33000000007</v>
      </c>
    </row>
    <row r="27" spans="2:3" ht="15.75" x14ac:dyDescent="0.25">
      <c r="B27" s="20"/>
      <c r="C27" s="23"/>
    </row>
    <row r="28" spans="2:3" ht="18" x14ac:dyDescent="0.25">
      <c r="B28" s="24" t="s">
        <v>19</v>
      </c>
      <c r="C28" s="25">
        <f>C16/5180.9/12</f>
        <v>14.050317834095752</v>
      </c>
    </row>
    <row r="30" spans="2:3" x14ac:dyDescent="0.25">
      <c r="B30" s="18" t="s">
        <v>40</v>
      </c>
      <c r="C30" s="19">
        <v>12340</v>
      </c>
    </row>
    <row r="32" spans="2:3" ht="15.75" x14ac:dyDescent="0.25">
      <c r="B32" s="30" t="s">
        <v>26</v>
      </c>
    </row>
    <row r="33" spans="2:3" ht="15.75" x14ac:dyDescent="0.25">
      <c r="B33" s="26" t="s">
        <v>20</v>
      </c>
      <c r="C33" s="27">
        <v>-251820</v>
      </c>
    </row>
    <row r="34" spans="2:3" ht="15.75" x14ac:dyDescent="0.25">
      <c r="B34" s="28" t="s">
        <v>21</v>
      </c>
      <c r="C34" s="29">
        <v>-206751</v>
      </c>
    </row>
    <row r="35" spans="2:3" ht="15.75" x14ac:dyDescent="0.25">
      <c r="B35" s="26" t="s">
        <v>22</v>
      </c>
      <c r="C35" s="27">
        <v>11005</v>
      </c>
    </row>
    <row r="36" spans="2:3" ht="15.75" x14ac:dyDescent="0.25">
      <c r="B36" s="26" t="s">
        <v>23</v>
      </c>
      <c r="C36" s="27">
        <v>-46434</v>
      </c>
    </row>
    <row r="37" spans="2:3" ht="15.75" x14ac:dyDescent="0.25">
      <c r="B37" s="26" t="s">
        <v>24</v>
      </c>
      <c r="C37" s="27">
        <v>-8189</v>
      </c>
    </row>
    <row r="38" spans="2:3" ht="15.75" x14ac:dyDescent="0.25">
      <c r="B38" s="26" t="s">
        <v>25</v>
      </c>
      <c r="C38" s="27">
        <v>-79616</v>
      </c>
    </row>
    <row r="39" spans="2:3" ht="15.75" x14ac:dyDescent="0.25">
      <c r="B39" s="26" t="s">
        <v>25</v>
      </c>
      <c r="C39" s="27">
        <f>C26</f>
        <v>-163301.33000000007</v>
      </c>
    </row>
    <row r="40" spans="2:3" ht="15.75" x14ac:dyDescent="0.25">
      <c r="B40" s="21"/>
      <c r="C40" s="22">
        <f>SUM(C33:C39)</f>
        <v>-745106.33000000007</v>
      </c>
    </row>
    <row r="41" spans="2:3" ht="15.75" x14ac:dyDescent="0.25">
      <c r="B41" s="21"/>
      <c r="C41" s="21"/>
    </row>
    <row r="42" spans="2:3" ht="21" x14ac:dyDescent="0.35">
      <c r="B42" s="31"/>
      <c r="C42" s="21"/>
    </row>
    <row r="43" spans="2:3" ht="21" x14ac:dyDescent="0.35">
      <c r="B43" s="31"/>
      <c r="C43" s="21"/>
    </row>
    <row r="44" spans="2:3" ht="21" x14ac:dyDescent="0.35">
      <c r="B44" s="31"/>
      <c r="C44" s="21"/>
    </row>
    <row r="45" spans="2:3" ht="21" x14ac:dyDescent="0.35">
      <c r="B45" s="31"/>
      <c r="C45" s="21"/>
    </row>
    <row r="46" spans="2:3" ht="21" x14ac:dyDescent="0.35">
      <c r="B46" s="31"/>
    </row>
    <row r="47" spans="2:3" ht="21" x14ac:dyDescent="0.35">
      <c r="B47" s="31"/>
    </row>
  </sheetData>
  <mergeCells count="1">
    <mergeCell ref="B1:C1"/>
  </mergeCells>
  <pageMargins left="0.31496062992125984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opLeftCell="A13" workbookViewId="0">
      <selection activeCell="B3" sqref="B3"/>
    </sheetView>
  </sheetViews>
  <sheetFormatPr defaultRowHeight="15" x14ac:dyDescent="0.25"/>
  <cols>
    <col min="1" max="1" width="3.140625" customWidth="1"/>
    <col min="2" max="2" width="72.85546875" customWidth="1"/>
    <col min="3" max="3" width="11.140625" customWidth="1"/>
  </cols>
  <sheetData>
    <row r="1" spans="2:3" ht="15" customHeight="1" x14ac:dyDescent="0.25">
      <c r="B1" s="37" t="s">
        <v>32</v>
      </c>
      <c r="C1" s="37"/>
    </row>
    <row r="2" spans="2:3" ht="15.75" x14ac:dyDescent="0.25">
      <c r="B2" s="33" t="s">
        <v>3</v>
      </c>
      <c r="C2" s="1"/>
    </row>
    <row r="3" spans="2:3" ht="15.75" x14ac:dyDescent="0.25">
      <c r="B3" t="s">
        <v>31</v>
      </c>
      <c r="C3" s="1"/>
    </row>
    <row r="4" spans="2:3" ht="15.75" x14ac:dyDescent="0.25">
      <c r="C4" s="1"/>
    </row>
    <row r="5" spans="2:3" ht="15.75" x14ac:dyDescent="0.25">
      <c r="B5" t="s">
        <v>48</v>
      </c>
      <c r="C5" s="1"/>
    </row>
    <row r="6" spans="2:3" ht="15.75" x14ac:dyDescent="0.25">
      <c r="B6" t="s">
        <v>49</v>
      </c>
      <c r="C6" s="1"/>
    </row>
    <row r="7" spans="2:3" ht="15.75" x14ac:dyDescent="0.25">
      <c r="C7" s="1"/>
    </row>
    <row r="8" spans="2:3" ht="15.75" x14ac:dyDescent="0.25">
      <c r="B8" t="s">
        <v>50</v>
      </c>
      <c r="C8" s="1"/>
    </row>
    <row r="9" spans="2:3" ht="15.75" x14ac:dyDescent="0.25">
      <c r="B9" t="s">
        <v>51</v>
      </c>
      <c r="C9" s="1"/>
    </row>
    <row r="10" spans="2:3" ht="15.75" x14ac:dyDescent="0.25">
      <c r="B10" s="12"/>
      <c r="C10" s="1"/>
    </row>
    <row r="11" spans="2:3" ht="15.75" x14ac:dyDescent="0.25">
      <c r="B11" s="4" t="s">
        <v>0</v>
      </c>
      <c r="C11" s="7" t="s">
        <v>38</v>
      </c>
    </row>
    <row r="12" spans="2:3" x14ac:dyDescent="0.25">
      <c r="B12" s="3"/>
      <c r="C12" s="5"/>
    </row>
    <row r="13" spans="2:3" ht="15.75" x14ac:dyDescent="0.25">
      <c r="B13" s="10" t="s">
        <v>30</v>
      </c>
      <c r="C13" s="15">
        <v>925670.23</v>
      </c>
    </row>
    <row r="14" spans="2:3" ht="15.75" x14ac:dyDescent="0.25">
      <c r="B14" s="14"/>
      <c r="C14" s="16"/>
    </row>
    <row r="15" spans="2:3" ht="15.75" x14ac:dyDescent="0.25">
      <c r="B15" s="10" t="s">
        <v>1</v>
      </c>
      <c r="C15" s="11">
        <f>SUM(C16:C25)</f>
        <v>1241405.3800000001</v>
      </c>
    </row>
    <row r="16" spans="2:3" ht="16.5" customHeight="1" x14ac:dyDescent="0.25">
      <c r="B16" s="6" t="s">
        <v>7</v>
      </c>
      <c r="C16" s="9">
        <f>538839.5+109264.6+6244.3</f>
        <v>654348.4</v>
      </c>
    </row>
    <row r="17" spans="2:3" ht="15.75" x14ac:dyDescent="0.25">
      <c r="B17" s="6" t="s">
        <v>12</v>
      </c>
      <c r="C17" s="9">
        <f>56027.7+45642.2</f>
        <v>101669.9</v>
      </c>
    </row>
    <row r="18" spans="2:3" ht="17.25" customHeight="1" x14ac:dyDescent="0.25">
      <c r="B18" s="6" t="s">
        <v>13</v>
      </c>
      <c r="C18" s="9">
        <f>14361+3222.9</f>
        <v>17583.900000000001</v>
      </c>
    </row>
    <row r="19" spans="2:3" ht="15.75" x14ac:dyDescent="0.25">
      <c r="B19" s="6" t="s">
        <v>10</v>
      </c>
      <c r="C19" s="9">
        <f>29202</f>
        <v>29202</v>
      </c>
    </row>
    <row r="20" spans="2:3" ht="59.25" customHeight="1" x14ac:dyDescent="0.25">
      <c r="B20" s="6" t="s">
        <v>53</v>
      </c>
      <c r="C20" s="9">
        <f>376053-3222.9-5606.7-7916.8</f>
        <v>359306.6</v>
      </c>
    </row>
    <row r="21" spans="2:3" ht="30.75" customHeight="1" x14ac:dyDescent="0.25">
      <c r="B21" s="6" t="s">
        <v>52</v>
      </c>
      <c r="C21" s="9"/>
    </row>
    <row r="22" spans="2:3" ht="15.75" x14ac:dyDescent="0.25">
      <c r="B22" s="6" t="s">
        <v>9</v>
      </c>
      <c r="C22" s="9">
        <v>13897</v>
      </c>
    </row>
    <row r="23" spans="2:3" ht="30.75" x14ac:dyDescent="0.25">
      <c r="B23" s="6" t="s">
        <v>2</v>
      </c>
      <c r="C23" s="17">
        <f>5606.7+7916.8+3702.1+2101.7</f>
        <v>19327.3</v>
      </c>
    </row>
    <row r="24" spans="2:3" ht="15.75" x14ac:dyDescent="0.25">
      <c r="B24" s="6" t="s">
        <v>8</v>
      </c>
      <c r="C24" s="9">
        <v>33274.5</v>
      </c>
    </row>
    <row r="25" spans="2:3" ht="15.75" x14ac:dyDescent="0.25">
      <c r="B25" s="6" t="s">
        <v>5</v>
      </c>
      <c r="C25" s="9">
        <v>12795.78</v>
      </c>
    </row>
    <row r="26" spans="2:3" ht="15.75" x14ac:dyDescent="0.25">
      <c r="B26" s="2" t="s">
        <v>39</v>
      </c>
      <c r="C26" s="8">
        <f>C13-C15</f>
        <v>-315735.15000000014</v>
      </c>
    </row>
    <row r="27" spans="2:3" ht="15.75" x14ac:dyDescent="0.25">
      <c r="B27" s="6"/>
      <c r="C27" s="9"/>
    </row>
    <row r="29" spans="2:3" x14ac:dyDescent="0.25">
      <c r="B29" s="18" t="s">
        <v>40</v>
      </c>
      <c r="C29" s="19">
        <v>16974</v>
      </c>
    </row>
  </sheetData>
  <mergeCells count="1">
    <mergeCell ref="B1:C1"/>
  </mergeCells>
  <pageMargins left="0.3" right="0.23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workbookViewId="0">
      <selection activeCell="B3" sqref="B3"/>
    </sheetView>
  </sheetViews>
  <sheetFormatPr defaultRowHeight="15" x14ac:dyDescent="0.25"/>
  <cols>
    <col min="1" max="1" width="2.85546875" customWidth="1"/>
    <col min="2" max="2" width="68" customWidth="1"/>
    <col min="3" max="3" width="14.42578125" customWidth="1"/>
  </cols>
  <sheetData>
    <row r="1" spans="2:3" ht="15" customHeight="1" x14ac:dyDescent="0.25">
      <c r="B1" s="37" t="s">
        <v>32</v>
      </c>
      <c r="C1" s="37"/>
    </row>
    <row r="2" spans="2:3" ht="15.75" x14ac:dyDescent="0.25">
      <c r="B2" s="33" t="s">
        <v>3</v>
      </c>
      <c r="C2" s="1"/>
    </row>
    <row r="3" spans="2:3" ht="15.75" x14ac:dyDescent="0.25">
      <c r="B3" t="s">
        <v>18</v>
      </c>
      <c r="C3" s="1"/>
    </row>
    <row r="4" spans="2:3" ht="15.75" x14ac:dyDescent="0.25">
      <c r="C4" s="1"/>
    </row>
    <row r="5" spans="2:3" ht="15.75" x14ac:dyDescent="0.25">
      <c r="B5" t="s">
        <v>54</v>
      </c>
      <c r="C5" s="1"/>
    </row>
    <row r="6" spans="2:3" ht="15.75" x14ac:dyDescent="0.25">
      <c r="B6" t="s">
        <v>55</v>
      </c>
      <c r="C6" s="1"/>
    </row>
    <row r="7" spans="2:3" ht="15.75" x14ac:dyDescent="0.25">
      <c r="C7" s="1"/>
    </row>
    <row r="8" spans="2:3" ht="15.75" x14ac:dyDescent="0.25">
      <c r="B8" t="s">
        <v>56</v>
      </c>
      <c r="C8" s="1"/>
    </row>
    <row r="9" spans="2:3" ht="15.75" x14ac:dyDescent="0.25">
      <c r="B9" t="s">
        <v>57</v>
      </c>
      <c r="C9" s="1"/>
    </row>
    <row r="10" spans="2:3" ht="15.75" x14ac:dyDescent="0.25">
      <c r="B10" s="12"/>
      <c r="C10" s="1"/>
    </row>
    <row r="11" spans="2:3" ht="15.75" x14ac:dyDescent="0.25">
      <c r="B11" s="4" t="s">
        <v>0</v>
      </c>
      <c r="C11" s="7" t="s">
        <v>38</v>
      </c>
    </row>
    <row r="12" spans="2:3" x14ac:dyDescent="0.25">
      <c r="B12" s="3"/>
      <c r="C12" s="5"/>
    </row>
    <row r="13" spans="2:3" ht="15.75" x14ac:dyDescent="0.25">
      <c r="B13" s="10" t="s">
        <v>6</v>
      </c>
      <c r="C13" s="15">
        <v>2017392.25</v>
      </c>
    </row>
    <row r="14" spans="2:3" ht="15.75" x14ac:dyDescent="0.25">
      <c r="B14" s="14"/>
      <c r="C14" s="16"/>
    </row>
    <row r="15" spans="2:3" ht="15.75" x14ac:dyDescent="0.25">
      <c r="B15" s="10" t="s">
        <v>1</v>
      </c>
      <c r="C15" s="11">
        <f>SUM(C16:C24)</f>
        <v>1936895.8000000003</v>
      </c>
    </row>
    <row r="16" spans="2:3" ht="15.75" customHeight="1" x14ac:dyDescent="0.25">
      <c r="B16" s="6" t="s">
        <v>7</v>
      </c>
      <c r="C16" s="9">
        <f>1017791.8+206354.7+12584.8</f>
        <v>1236731.3</v>
      </c>
    </row>
    <row r="17" spans="2:3" ht="18.75" customHeight="1" x14ac:dyDescent="0.25">
      <c r="B17" s="6" t="s">
        <v>12</v>
      </c>
      <c r="C17" s="9">
        <f>91986.9+112918</f>
        <v>204904.9</v>
      </c>
    </row>
    <row r="18" spans="2:3" ht="15.75" x14ac:dyDescent="0.25">
      <c r="B18" s="6" t="s">
        <v>13</v>
      </c>
      <c r="C18" s="9">
        <f>28943.8+6495.8</f>
        <v>35439.599999999999</v>
      </c>
    </row>
    <row r="19" spans="2:3" ht="15.75" x14ac:dyDescent="0.25">
      <c r="B19" s="6" t="s">
        <v>10</v>
      </c>
      <c r="C19" s="9">
        <v>54970.8</v>
      </c>
    </row>
    <row r="20" spans="2:3" ht="45.75" x14ac:dyDescent="0.25">
      <c r="B20" s="6" t="s">
        <v>11</v>
      </c>
      <c r="C20" s="9">
        <f>193736.6-6495.8-11299.7-16937.5+81700</f>
        <v>240703.6</v>
      </c>
    </row>
    <row r="21" spans="2:3" ht="15.75" x14ac:dyDescent="0.25">
      <c r="B21" s="6" t="s">
        <v>9</v>
      </c>
      <c r="C21" s="9">
        <v>28008.55</v>
      </c>
    </row>
    <row r="22" spans="2:3" ht="30.75" x14ac:dyDescent="0.25">
      <c r="B22" s="6" t="s">
        <v>2</v>
      </c>
      <c r="C22" s="17">
        <f>11299.7+16937.5+7461.4+4235.1</f>
        <v>39933.699999999997</v>
      </c>
    </row>
    <row r="23" spans="2:3" ht="15.75" x14ac:dyDescent="0.25">
      <c r="B23" s="6" t="s">
        <v>8</v>
      </c>
      <c r="C23" s="9">
        <v>67061.100000000006</v>
      </c>
    </row>
    <row r="24" spans="2:3" ht="15.75" x14ac:dyDescent="0.25">
      <c r="B24" s="6" t="s">
        <v>5</v>
      </c>
      <c r="C24" s="9">
        <v>29142.25</v>
      </c>
    </row>
    <row r="25" spans="2:3" ht="15.75" x14ac:dyDescent="0.25">
      <c r="B25" s="2" t="s">
        <v>39</v>
      </c>
      <c r="C25" s="8">
        <f>C13-C15</f>
        <v>80496.449999999721</v>
      </c>
    </row>
    <row r="26" spans="2:3" ht="15.75" x14ac:dyDescent="0.25">
      <c r="B26" s="6"/>
      <c r="C26" s="9"/>
    </row>
    <row r="28" spans="2:3" x14ac:dyDescent="0.25">
      <c r="B28" s="18" t="s">
        <v>40</v>
      </c>
      <c r="C28" s="19">
        <v>24583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opLeftCell="A19" workbookViewId="0">
      <selection sqref="A1:C28"/>
    </sheetView>
  </sheetViews>
  <sheetFormatPr defaultRowHeight="15" x14ac:dyDescent="0.25"/>
  <cols>
    <col min="1" max="1" width="2.7109375" customWidth="1"/>
    <col min="2" max="2" width="72.85546875" customWidth="1"/>
    <col min="3" max="3" width="11.5703125" customWidth="1"/>
  </cols>
  <sheetData>
    <row r="1" spans="2:3" ht="15" customHeight="1" x14ac:dyDescent="0.25">
      <c r="B1" s="37" t="s">
        <v>32</v>
      </c>
      <c r="C1" s="37"/>
    </row>
    <row r="2" spans="2:3" ht="15.75" x14ac:dyDescent="0.25">
      <c r="B2" s="33" t="s">
        <v>3</v>
      </c>
      <c r="C2" s="1"/>
    </row>
    <row r="3" spans="2:3" ht="15.75" x14ac:dyDescent="0.25">
      <c r="B3" t="s">
        <v>14</v>
      </c>
      <c r="C3" s="1"/>
    </row>
    <row r="4" spans="2:3" ht="15.75" x14ac:dyDescent="0.25">
      <c r="C4" s="1"/>
    </row>
    <row r="5" spans="2:3" ht="15.75" x14ac:dyDescent="0.25">
      <c r="B5" t="s">
        <v>58</v>
      </c>
      <c r="C5" s="1"/>
    </row>
    <row r="6" spans="2:3" ht="15.75" x14ac:dyDescent="0.25">
      <c r="B6" t="s">
        <v>59</v>
      </c>
      <c r="C6" s="1"/>
    </row>
    <row r="7" spans="2:3" ht="15.75" x14ac:dyDescent="0.25">
      <c r="C7" s="1"/>
    </row>
    <row r="8" spans="2:3" ht="15.75" x14ac:dyDescent="0.25">
      <c r="B8" t="s">
        <v>15</v>
      </c>
      <c r="C8" s="1"/>
    </row>
    <row r="9" spans="2:3" ht="15.75" x14ac:dyDescent="0.25">
      <c r="C9" s="1"/>
    </row>
    <row r="11" spans="2:3" ht="15.75" x14ac:dyDescent="0.25">
      <c r="B11" s="4" t="s">
        <v>0</v>
      </c>
      <c r="C11" s="7" t="s">
        <v>38</v>
      </c>
    </row>
    <row r="12" spans="2:3" x14ac:dyDescent="0.25">
      <c r="B12" s="3"/>
      <c r="C12" s="5"/>
    </row>
    <row r="13" spans="2:3" ht="16.5" customHeight="1" x14ac:dyDescent="0.25">
      <c r="B13" s="10" t="s">
        <v>6</v>
      </c>
      <c r="C13" s="15">
        <v>1313471.99</v>
      </c>
    </row>
    <row r="14" spans="2:3" ht="16.5" customHeight="1" x14ac:dyDescent="0.25">
      <c r="B14" s="14"/>
      <c r="C14" s="16"/>
    </row>
    <row r="15" spans="2:3" ht="16.5" customHeight="1" x14ac:dyDescent="0.25">
      <c r="B15" s="10" t="s">
        <v>1</v>
      </c>
      <c r="C15" s="11">
        <f>SUM(C16:C24)</f>
        <v>1254763.9400000002</v>
      </c>
    </row>
    <row r="16" spans="2:3" ht="16.5" customHeight="1" x14ac:dyDescent="0.25">
      <c r="B16" s="6" t="s">
        <v>7</v>
      </c>
      <c r="C16" s="9">
        <f>584386.2+118474.1+7917.2</f>
        <v>710777.49999999988</v>
      </c>
    </row>
    <row r="17" spans="2:3" ht="16.5" customHeight="1" x14ac:dyDescent="0.25">
      <c r="B17" s="6" t="s">
        <v>12</v>
      </c>
      <c r="C17" s="9">
        <f>57870.9+71039.1</f>
        <v>128910</v>
      </c>
    </row>
    <row r="18" spans="2:3" ht="16.5" customHeight="1" x14ac:dyDescent="0.25">
      <c r="B18" s="6" t="s">
        <v>13</v>
      </c>
      <c r="C18" s="9">
        <f>18209+4348.4</f>
        <v>22557.4</v>
      </c>
    </row>
    <row r="19" spans="2:3" ht="16.5" customHeight="1" x14ac:dyDescent="0.25">
      <c r="B19" s="6" t="s">
        <v>10</v>
      </c>
      <c r="C19" s="9">
        <v>35300.400000000001</v>
      </c>
    </row>
    <row r="20" spans="2:3" ht="31.5" customHeight="1" x14ac:dyDescent="0.25">
      <c r="B20" s="6" t="s">
        <v>11</v>
      </c>
      <c r="C20" s="9">
        <f>186102.7-4348.4-6768.4-16525.9+100000</f>
        <v>258460.00000000003</v>
      </c>
    </row>
    <row r="21" spans="2:3" ht="18.75" customHeight="1" x14ac:dyDescent="0.25">
      <c r="B21" s="6" t="s">
        <v>9</v>
      </c>
      <c r="C21" s="9">
        <f>17620.77</f>
        <v>17620.77</v>
      </c>
    </row>
    <row r="22" spans="2:3" ht="33" customHeight="1" x14ac:dyDescent="0.25">
      <c r="B22" s="6" t="s">
        <v>2</v>
      </c>
      <c r="C22" s="17">
        <f>6768.4+16525.9+4694+2664.9</f>
        <v>30653.200000000004</v>
      </c>
    </row>
    <row r="23" spans="2:3" ht="16.5" customHeight="1" x14ac:dyDescent="0.25">
      <c r="B23" s="6" t="s">
        <v>8</v>
      </c>
      <c r="C23" s="9">
        <v>42189.1</v>
      </c>
    </row>
    <row r="24" spans="2:3" ht="16.5" customHeight="1" x14ac:dyDescent="0.25">
      <c r="B24" s="6" t="s">
        <v>5</v>
      </c>
      <c r="C24" s="9">
        <v>8295.57</v>
      </c>
    </row>
    <row r="25" spans="2:3" ht="16.5" customHeight="1" x14ac:dyDescent="0.25">
      <c r="B25" s="2" t="s">
        <v>39</v>
      </c>
      <c r="C25" s="8">
        <f>C13-C15</f>
        <v>58708.049999999814</v>
      </c>
    </row>
    <row r="26" spans="2:3" ht="16.5" customHeight="1" x14ac:dyDescent="0.25">
      <c r="B26" s="6"/>
      <c r="C26" s="9"/>
    </row>
    <row r="27" spans="2:3" ht="16.5" customHeight="1" x14ac:dyDescent="0.25"/>
    <row r="28" spans="2:3" ht="16.5" customHeight="1" x14ac:dyDescent="0.25">
      <c r="B28" s="18" t="s">
        <v>40</v>
      </c>
      <c r="C28" s="19">
        <v>32539</v>
      </c>
    </row>
    <row r="29" spans="2:3" ht="16.5" customHeight="1" x14ac:dyDescent="0.25"/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abSelected="1" topLeftCell="A7" workbookViewId="0">
      <selection activeCell="C17" sqref="C17"/>
    </sheetView>
  </sheetViews>
  <sheetFormatPr defaultRowHeight="15" x14ac:dyDescent="0.25"/>
  <cols>
    <col min="1" max="1" width="2.7109375" customWidth="1"/>
    <col min="2" max="2" width="73" customWidth="1"/>
    <col min="3" max="3" width="12.85546875" customWidth="1"/>
  </cols>
  <sheetData>
    <row r="1" spans="2:3" x14ac:dyDescent="0.25">
      <c r="B1" s="37" t="s">
        <v>32</v>
      </c>
      <c r="C1" s="37"/>
    </row>
    <row r="2" spans="2:3" ht="15.75" x14ac:dyDescent="0.25">
      <c r="B2" s="33" t="s">
        <v>3</v>
      </c>
      <c r="C2" s="1"/>
    </row>
    <row r="3" spans="2:3" ht="15.75" x14ac:dyDescent="0.25">
      <c r="B3" t="s">
        <v>14</v>
      </c>
      <c r="C3" s="1"/>
    </row>
    <row r="4" spans="2:3" ht="15.75" x14ac:dyDescent="0.25">
      <c r="C4" s="1"/>
    </row>
    <row r="5" spans="2:3" ht="15.75" x14ac:dyDescent="0.25">
      <c r="B5" t="s">
        <v>61</v>
      </c>
      <c r="C5" s="1"/>
    </row>
    <row r="6" spans="2:3" ht="15.75" x14ac:dyDescent="0.25">
      <c r="B6" t="s">
        <v>60</v>
      </c>
      <c r="C6" s="1"/>
    </row>
    <row r="7" spans="2:3" ht="15.75" x14ac:dyDescent="0.25">
      <c r="C7" s="1"/>
    </row>
    <row r="8" spans="2:3" ht="15.75" x14ac:dyDescent="0.25">
      <c r="B8" t="s">
        <v>15</v>
      </c>
      <c r="C8" s="1"/>
    </row>
    <row r="9" spans="2:3" ht="15.75" x14ac:dyDescent="0.25">
      <c r="C9" s="1"/>
    </row>
    <row r="11" spans="2:3" ht="15.75" x14ac:dyDescent="0.25">
      <c r="B11" s="4" t="s">
        <v>0</v>
      </c>
      <c r="C11" s="7" t="s">
        <v>38</v>
      </c>
    </row>
    <row r="12" spans="2:3" x14ac:dyDescent="0.25">
      <c r="B12" s="3"/>
      <c r="C12" s="5"/>
    </row>
    <row r="13" spans="2:3" ht="15.75" x14ac:dyDescent="0.25">
      <c r="B13" s="10" t="s">
        <v>6</v>
      </c>
      <c r="C13" s="15">
        <v>833168.05</v>
      </c>
    </row>
    <row r="14" spans="2:3" ht="15.75" x14ac:dyDescent="0.25">
      <c r="B14" s="14"/>
      <c r="C14" s="16"/>
    </row>
    <row r="15" spans="2:3" ht="15.75" x14ac:dyDescent="0.25">
      <c r="B15" s="10" t="s">
        <v>1</v>
      </c>
      <c r="C15" s="11">
        <f>SUM(C16:C24)</f>
        <v>864613.0399999998</v>
      </c>
    </row>
    <row r="16" spans="2:3" ht="16.5" customHeight="1" x14ac:dyDescent="0.25">
      <c r="B16" s="6" t="s">
        <v>7</v>
      </c>
      <c r="C16" s="9">
        <f>478544+97185.9+6057.6</f>
        <v>581787.5</v>
      </c>
    </row>
    <row r="17" spans="2:3" ht="15.75" x14ac:dyDescent="0.25">
      <c r="B17" s="6" t="s">
        <v>12</v>
      </c>
      <c r="C17" s="9">
        <f>51079.7+57710.8</f>
        <v>108790.5</v>
      </c>
    </row>
    <row r="18" spans="2:3" ht="15.75" x14ac:dyDescent="0.25">
      <c r="B18" s="6" t="s">
        <v>13</v>
      </c>
      <c r="C18" s="9">
        <f>13439.4+1884.6</f>
        <v>15324</v>
      </c>
    </row>
    <row r="19" spans="2:3" ht="15.75" x14ac:dyDescent="0.25">
      <c r="B19" s="6" t="s">
        <v>10</v>
      </c>
      <c r="C19" s="9">
        <f>29717.7</f>
        <v>29717.7</v>
      </c>
    </row>
    <row r="20" spans="2:3" ht="30.75" customHeight="1" x14ac:dyDescent="0.25">
      <c r="B20" s="6" t="s">
        <v>11</v>
      </c>
      <c r="C20" s="9">
        <f>78900.6-1884.6-4849.7-7660.2</f>
        <v>64506.100000000006</v>
      </c>
    </row>
    <row r="21" spans="2:3" ht="16.5" customHeight="1" x14ac:dyDescent="0.25">
      <c r="B21" s="6" t="s">
        <v>9</v>
      </c>
      <c r="C21" s="9">
        <f>14247.36</f>
        <v>14247.36</v>
      </c>
    </row>
    <row r="22" spans="2:3" ht="30.75" x14ac:dyDescent="0.25">
      <c r="B22" s="6" t="s">
        <v>2</v>
      </c>
      <c r="C22" s="17">
        <f>4849.7+7660.2+3342.6+1917.7</f>
        <v>17770.2</v>
      </c>
    </row>
    <row r="23" spans="2:3" ht="15.75" x14ac:dyDescent="0.25">
      <c r="B23" s="6" t="s">
        <v>8</v>
      </c>
      <c r="C23" s="9">
        <v>32209.200000000001</v>
      </c>
    </row>
    <row r="24" spans="2:3" ht="15.75" x14ac:dyDescent="0.25">
      <c r="B24" s="6" t="s">
        <v>5</v>
      </c>
      <c r="C24" s="9">
        <v>260.48</v>
      </c>
    </row>
    <row r="25" spans="2:3" ht="15.75" x14ac:dyDescent="0.25">
      <c r="B25" s="2" t="s">
        <v>39</v>
      </c>
      <c r="C25" s="8">
        <f>C13-C15</f>
        <v>-31444.989999999758</v>
      </c>
    </row>
    <row r="26" spans="2:3" ht="15.75" x14ac:dyDescent="0.25">
      <c r="B26" s="6"/>
      <c r="C26" s="9"/>
    </row>
    <row r="28" spans="2:3" x14ac:dyDescent="0.25">
      <c r="B28" s="18" t="s">
        <v>40</v>
      </c>
      <c r="C28" s="19">
        <v>55114</v>
      </c>
    </row>
  </sheetData>
  <mergeCells count="1">
    <mergeCell ref="B1:C1"/>
  </mergeCells>
  <pageMargins left="0.70866141732283472" right="0.31496062992125984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38а</vt:lpstr>
      <vt:lpstr>38б</vt:lpstr>
      <vt:lpstr>48в</vt:lpstr>
      <vt:lpstr>109а</vt:lpstr>
      <vt:lpstr>48</vt:lpstr>
      <vt:lpstr>21</vt:lpstr>
      <vt:lpstr>104 106</vt:lpstr>
      <vt:lpstr>225А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2014-04-18T05:17:16Z</cp:lastPrinted>
  <dcterms:created xsi:type="dcterms:W3CDTF">2010-11-24T05:34:21Z</dcterms:created>
  <dcterms:modified xsi:type="dcterms:W3CDTF">2015-07-13T09:06:59Z</dcterms:modified>
</cp:coreProperties>
</file>